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scellaneous\BankExecPrograms\GA Banking School\GA 2024\Presession Materials\Websiteold\"/>
    </mc:Choice>
  </mc:AlternateContent>
  <xr:revisionPtr revIDLastSave="0" documentId="8_{8B3E4B0B-6BFF-47C5-B6FF-117425271CB3}" xr6:coauthVersionLast="47" xr6:coauthVersionMax="47" xr10:uidLastSave="{00000000-0000-0000-0000-000000000000}"/>
  <bookViews>
    <workbookView xWindow="-110" yWindow="-110" windowWidth="19420" windowHeight="11500" xr2:uid="{2AD3CEC6-CBA3-4D97-B3F5-61743351BF41}"/>
  </bookViews>
  <sheets>
    <sheet name="Sheet1" sheetId="1" r:id="rId1"/>
    <sheet name="Sheet2" sheetId="2" r:id="rId2"/>
  </sheets>
  <definedNames>
    <definedName name="_xlnm.Print_Area" localSheetId="0">Sheet1!$A$1:$M$32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21" i="1" l="1"/>
  <c r="J21" i="1" s="1"/>
  <c r="H19" i="1"/>
  <c r="H18" i="1"/>
  <c r="J18" i="1" s="1"/>
  <c r="H24" i="1"/>
  <c r="J24" i="1" s="1"/>
  <c r="H23" i="1"/>
  <c r="J23" i="1" s="1"/>
  <c r="H17" i="1"/>
  <c r="J17" i="1" s="1"/>
  <c r="H16" i="1"/>
  <c r="J16" i="1" s="1"/>
  <c r="H15" i="1"/>
  <c r="J15" i="1" s="1"/>
  <c r="H10" i="1"/>
  <c r="H9" i="1"/>
  <c r="H8" i="1"/>
  <c r="B22" i="1"/>
  <c r="D19" i="1"/>
  <c r="D7" i="1"/>
  <c r="B12" i="1"/>
  <c r="R11" i="1"/>
  <c r="R13" i="1" s="1"/>
  <c r="R12" i="1"/>
  <c r="D20" i="1"/>
  <c r="J9" i="1" l="1"/>
  <c r="B29" i="1" s="1"/>
  <c r="J11" i="1"/>
  <c r="B30" i="1" s="1"/>
  <c r="B31" i="1"/>
  <c r="J19" i="1"/>
  <c r="R14" i="1"/>
  <c r="L30" i="1" l="1"/>
  <c r="G30" i="1"/>
  <c r="G31" i="1"/>
  <c r="J12" i="1"/>
  <c r="J22" i="1" s="1"/>
  <c r="R15" i="1"/>
  <c r="R16" i="1" s="1"/>
  <c r="J6" i="1" s="1"/>
  <c r="F28" i="1" s="1"/>
  <c r="S6" i="1" l="1"/>
  <c r="S7" i="1"/>
  <c r="S10" i="1" l="1"/>
  <c r="S9" i="1"/>
  <c r="S8" i="1"/>
  <c r="J20" i="1" l="1"/>
  <c r="J25" i="1" s="1"/>
  <c r="L29" i="1" s="1"/>
  <c r="J7" i="1"/>
  <c r="J13" i="1" s="1"/>
  <c r="G29" i="1" l="1"/>
</calcChain>
</file>

<file path=xl/sharedStrings.xml><?xml version="1.0" encoding="utf-8"?>
<sst xmlns="http://schemas.openxmlformats.org/spreadsheetml/2006/main" count="129" uniqueCount="82">
  <si>
    <t>Total Assets</t>
  </si>
  <si>
    <t>Securities</t>
  </si>
  <si>
    <t>Loans (Net)</t>
  </si>
  <si>
    <t>Checking Accts</t>
  </si>
  <si>
    <t>Savings Accts</t>
  </si>
  <si>
    <t>Retail Time Accts</t>
  </si>
  <si>
    <t>Corp CDs</t>
  </si>
  <si>
    <t>FHLB Borrowing</t>
  </si>
  <si>
    <t>Other Liabilities</t>
  </si>
  <si>
    <t>Subordinated Debt</t>
  </si>
  <si>
    <t>Owners Equity</t>
  </si>
  <si>
    <t>B10</t>
  </si>
  <si>
    <t>B05</t>
  </si>
  <si>
    <t>Mature</t>
  </si>
  <si>
    <t>Sell</t>
  </si>
  <si>
    <t>B40</t>
  </si>
  <si>
    <t>B64</t>
  </si>
  <si>
    <t>-</t>
  </si>
  <si>
    <t>+</t>
  </si>
  <si>
    <t>Forecast</t>
  </si>
  <si>
    <t>Interim</t>
  </si>
  <si>
    <t>Risk Assets (B05)</t>
  </si>
  <si>
    <t>FFP/Cap</t>
  </si>
  <si>
    <t>Loans/Deps</t>
  </si>
  <si>
    <t>Loans/Core</t>
  </si>
  <si>
    <t>Equity/TA</t>
  </si>
  <si>
    <t>Cap/RA*</t>
  </si>
  <si>
    <t>Proforma Balance Sheet</t>
  </si>
  <si>
    <t>Month</t>
  </si>
  <si>
    <t>Year</t>
  </si>
  <si>
    <t>Mnthnew</t>
  </si>
  <si>
    <t>Yearnew</t>
  </si>
  <si>
    <t>Daynew</t>
  </si>
  <si>
    <t>Date</t>
  </si>
  <si>
    <t>=</t>
  </si>
  <si>
    <t>Total Assets =</t>
  </si>
  <si>
    <t>Total Liab &amp; Equity =</t>
  </si>
  <si>
    <t>Password: proforma1</t>
  </si>
  <si>
    <t>Final</t>
  </si>
  <si>
    <t>All remaining assets</t>
  </si>
  <si>
    <t>Fed Funds Sold</t>
  </si>
  <si>
    <t>Repos</t>
  </si>
  <si>
    <t>Fed Funds Purch</t>
  </si>
  <si>
    <t>Buy</t>
  </si>
  <si>
    <t>New</t>
  </si>
  <si>
    <t>all</t>
  </si>
  <si>
    <t>Add RE + New Equity Issued</t>
  </si>
  <si>
    <t>Total L&amp;Eq</t>
  </si>
  <si>
    <t>Amount</t>
  </si>
  <si>
    <t>(Balance Sheet - B01)</t>
  </si>
  <si>
    <t>assumed rate of growth</t>
  </si>
  <si>
    <t>Sec Purchases</t>
  </si>
  <si>
    <t>Sec Sales</t>
  </si>
  <si>
    <t>Loan Sales</t>
  </si>
  <si>
    <t xml:space="preserve">    Securities</t>
  </si>
  <si>
    <t xml:space="preserve">    Loans</t>
  </si>
  <si>
    <t>Expected Growth</t>
  </si>
  <si>
    <t>Core Deposits</t>
  </si>
  <si>
    <t>New Checking</t>
  </si>
  <si>
    <t>New Savings</t>
  </si>
  <si>
    <t>New Retail Time</t>
  </si>
  <si>
    <t>New Sub Debt</t>
  </si>
  <si>
    <t>New FHLB</t>
  </si>
  <si>
    <t>New CDs - 2 qtrs</t>
  </si>
  <si>
    <t>New CDs - 3 qtrs</t>
  </si>
  <si>
    <t>New Repos</t>
  </si>
  <si>
    <t>FFS (initial)</t>
  </si>
  <si>
    <t>FFP (initial)</t>
  </si>
  <si>
    <t>Mature/Withdraw</t>
  </si>
  <si>
    <t xml:space="preserve">Forecasts: </t>
  </si>
  <si>
    <t>1. Enter most recent balance sheet, risk assets, and mature/withdraw values (green values in columns B &amp; D below).</t>
  </si>
  <si>
    <t>2. Enter planned/desired security, loan, deposit, and capital changes (blue values in column M below).</t>
  </si>
  <si>
    <t>3. Examine forecast values (purple) and make adjustments if needed.</t>
  </si>
  <si>
    <t>4. Examine Fed Funds values and decide how to address funding need/excess.</t>
  </si>
  <si>
    <t>New CDs - 4 qtrs</t>
  </si>
  <si>
    <t xml:space="preserve">New CDs - 1 qtr </t>
  </si>
  <si>
    <t>New Loans</t>
  </si>
  <si>
    <t>Plans</t>
  </si>
  <si>
    <t xml:space="preserve">       (see B20 for last qtr new loans)</t>
  </si>
  <si>
    <t>(see B40 for last qtr deposit results)</t>
  </si>
  <si>
    <t>(enter on Treasury Decision page)</t>
  </si>
  <si>
    <t>"New"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</si>
</sst>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i/>
      <sz val="12"/>
      <color theme="7" tint="-0.49998474074526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u/>
      <sz val="12"/>
      <color rgb="FF7030A0"/>
      <name val="Calibri"/>
      <family val="2"/>
      <scheme val="minor"/>
    </font>
    <font>
      <b/>
      <i/>
      <sz val="12"/>
      <color rgb="FF7030A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7" tint="-0.499984740745262"/>
      <name val="Calibri"/>
      <family val="2"/>
      <scheme val="minor"/>
    </font>
    <font>
      <sz val="12"/>
      <color rgb="FF7030A0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b/>
      <i/>
      <sz val="16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14" fontId="25" fillId="0" borderId="0" xfId="0" applyNumberFormat="1" applyFont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3" xfId="0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11" xfId="0" applyFont="1" applyBorder="1" applyAlignment="1" applyProtection="1">
      <alignment horizontal="center"/>
      <protection locked="0"/>
    </xf>
    <xf numFmtId="0" fontId="14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right"/>
    </xf>
    <xf numFmtId="0" fontId="2" fillId="0" borderId="0" xfId="0" applyFont="1"/>
    <xf numFmtId="0" fontId="14" fillId="0" borderId="3" xfId="0" applyFont="1" applyBorder="1" applyAlignment="1">
      <alignment horizontal="center"/>
    </xf>
    <xf numFmtId="0" fontId="30" fillId="0" borderId="8" xfId="0" applyFont="1" applyBorder="1" applyAlignment="1" applyProtection="1">
      <alignment horizontal="center"/>
      <protection locked="0"/>
    </xf>
    <xf numFmtId="0" fontId="32" fillId="0" borderId="8" xfId="0" applyFont="1" applyBorder="1" applyAlignment="1" applyProtection="1">
      <alignment horizontal="center"/>
      <protection locked="0"/>
    </xf>
    <xf numFmtId="0" fontId="34" fillId="0" borderId="8" xfId="0" applyFont="1" applyBorder="1" applyAlignment="1" applyProtection="1">
      <alignment horizontal="center"/>
      <protection locked="0"/>
    </xf>
    <xf numFmtId="0" fontId="30" fillId="0" borderId="6" xfId="0" applyFont="1" applyBorder="1" applyAlignment="1" applyProtection="1">
      <alignment horizontal="center"/>
      <protection locked="0"/>
    </xf>
    <xf numFmtId="0" fontId="29" fillId="0" borderId="0" xfId="0" applyFont="1"/>
    <xf numFmtId="0" fontId="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8" fillId="0" borderId="0" xfId="0" applyFont="1"/>
    <xf numFmtId="0" fontId="0" fillId="0" borderId="6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/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0" borderId="7" xfId="0" applyFont="1" applyBorder="1" applyAlignment="1">
      <alignment horizontal="right"/>
    </xf>
    <xf numFmtId="0" fontId="0" fillId="0" borderId="7" xfId="0" applyBorder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4" fontId="7" fillId="0" borderId="8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2" xfId="0" quotePrefix="1" applyFont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6" fillId="0" borderId="5" xfId="0" applyFont="1" applyBorder="1"/>
    <xf numFmtId="0" fontId="6" fillId="0" borderId="3" xfId="0" quotePrefix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6" fillId="0" borderId="9" xfId="0" applyFont="1" applyBorder="1"/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1" fillId="0" borderId="8" xfId="0" applyFont="1" applyBorder="1"/>
    <xf numFmtId="0" fontId="24" fillId="0" borderId="4" xfId="0" applyFont="1" applyBorder="1" applyAlignment="1">
      <alignment horizontal="center"/>
    </xf>
    <xf numFmtId="0" fontId="20" fillId="0" borderId="7" xfId="0" applyFont="1" applyBorder="1" applyAlignment="1">
      <alignment horizontal="right"/>
    </xf>
    <xf numFmtId="0" fontId="12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/>
    <xf numFmtId="0" fontId="12" fillId="3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11" fillId="0" borderId="0" xfId="0" applyFont="1"/>
    <xf numFmtId="0" fontId="17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20" fillId="0" borderId="5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2" fillId="0" borderId="3" xfId="0" applyFont="1" applyBorder="1"/>
    <xf numFmtId="0" fontId="26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8" fillId="0" borderId="0" xfId="0" applyNumberFormat="1" applyFont="1"/>
    <xf numFmtId="0" fontId="16" fillId="0" borderId="12" xfId="0" applyFont="1" applyBorder="1"/>
    <xf numFmtId="0" fontId="4" fillId="0" borderId="0" xfId="0" applyFont="1" applyAlignment="1">
      <alignment horizontal="left"/>
    </xf>
    <xf numFmtId="0" fontId="13" fillId="0" borderId="0" xfId="0" applyFont="1" applyAlignment="1">
      <alignment horizontal="center" vertical="top"/>
    </xf>
    <xf numFmtId="0" fontId="0" fillId="0" borderId="3" xfId="0" applyBorder="1"/>
    <xf numFmtId="0" fontId="15" fillId="0" borderId="3" xfId="0" applyFont="1" applyBorder="1" applyAlignment="1">
      <alignment horizontal="right"/>
    </xf>
    <xf numFmtId="0" fontId="7" fillId="0" borderId="6" xfId="0" applyFont="1" applyBorder="1"/>
    <xf numFmtId="0" fontId="18" fillId="0" borderId="0" xfId="0" applyFont="1"/>
    <xf numFmtId="0" fontId="11" fillId="0" borderId="7" xfId="0" applyFont="1" applyBorder="1" applyAlignment="1">
      <alignment horizontal="right"/>
    </xf>
    <xf numFmtId="0" fontId="11" fillId="0" borderId="0" xfId="0" applyFont="1" applyAlignment="1">
      <alignment horizontal="right"/>
    </xf>
    <xf numFmtId="10" fontId="11" fillId="0" borderId="8" xfId="0" applyNumberFormat="1" applyFont="1" applyBorder="1" applyAlignment="1">
      <alignment horizontal="center"/>
    </xf>
    <xf numFmtId="0" fontId="11" fillId="0" borderId="9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2" fillId="0" borderId="4" xfId="0" applyFont="1" applyBorder="1" applyAlignment="1">
      <alignment horizontal="right"/>
    </xf>
    <xf numFmtId="0" fontId="0" fillId="0" borderId="10" xfId="0" applyBorder="1"/>
    <xf numFmtId="0" fontId="25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0" fontId="17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6" fillId="0" borderId="0" xfId="0" applyFont="1"/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0" fillId="0" borderId="0" xfId="0"/>
    <xf numFmtId="0" fontId="11" fillId="0" borderId="9" xfId="0" applyFont="1" applyBorder="1" applyAlignment="1">
      <alignment horizontal="right"/>
    </xf>
    <xf numFmtId="0" fontId="0" fillId="0" borderId="4" xfId="0" applyBorder="1" applyAlignment="1">
      <alignment horizontal="right"/>
    </xf>
    <xf numFmtId="10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0" fontId="11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28" fillId="0" borderId="12" xfId="0" applyFont="1" applyBorder="1"/>
    <xf numFmtId="0" fontId="5" fillId="0" borderId="11" xfId="0" applyFont="1" applyBorder="1"/>
    <xf numFmtId="14" fontId="7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9" fillId="0" borderId="6" xfId="0" applyFont="1" applyBorder="1" applyAlignment="1">
      <alignment horizontal="right"/>
    </xf>
    <xf numFmtId="0" fontId="1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9" fillId="0" borderId="2" xfId="0" applyFont="1" applyBorder="1"/>
    <xf numFmtId="0" fontId="0" fillId="0" borderId="2" xfId="0" applyBorder="1"/>
    <xf numFmtId="0" fontId="2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35" fillId="0" borderId="0" xfId="0" applyFont="1"/>
    <xf numFmtId="0" fontId="37" fillId="0" borderId="4" xfId="0" applyFont="1" applyBorder="1"/>
    <xf numFmtId="0" fontId="0" fillId="0" borderId="4" xfId="0" applyBorder="1"/>
    <xf numFmtId="0" fontId="28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FF"/>
      <color rgb="FFFFCCFF"/>
      <color rgb="FFB233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66BB-DE3F-4B60-9C05-CD8237B24FBE}">
  <dimension ref="A1:S36"/>
  <sheetViews>
    <sheetView tabSelected="1" workbookViewId="0"/>
  </sheetViews>
  <sheetFormatPr defaultRowHeight="14.5" x14ac:dyDescent="0.35"/>
  <cols>
    <col min="1" max="1" width="23.54296875" customWidth="1"/>
    <col min="2" max="2" width="13.90625" style="1" customWidth="1"/>
    <col min="3" max="3" width="2.90625" style="2" customWidth="1"/>
    <col min="4" max="4" width="13.81640625" style="1" customWidth="1"/>
    <col min="5" max="5" width="4" style="1" customWidth="1"/>
    <col min="6" max="6" width="3.453125" style="2" customWidth="1"/>
    <col min="7" max="7" width="6.08984375" style="2" customWidth="1"/>
    <col min="8" max="8" width="11.453125" style="1" customWidth="1"/>
    <col min="9" max="9" width="4" style="2" customWidth="1"/>
    <col min="10" max="10" width="11.1796875" style="1" customWidth="1"/>
    <col min="11" max="11" width="1.90625" customWidth="1"/>
    <col min="12" max="12" width="18" customWidth="1"/>
    <col min="13" max="13" width="11" customWidth="1"/>
    <col min="14" max="14" width="15.08984375" customWidth="1"/>
    <col min="17" max="17" width="8.90625" hidden="1" customWidth="1"/>
    <col min="18" max="18" width="11.36328125" hidden="1" customWidth="1"/>
    <col min="19" max="19" width="8.90625" hidden="1" customWidth="1"/>
  </cols>
  <sheetData>
    <row r="1" spans="1:19" s="3" customFormat="1" ht="21" x14ac:dyDescent="0.5">
      <c r="A1" s="29" t="s">
        <v>70</v>
      </c>
      <c r="B1" s="30"/>
      <c r="C1" s="31"/>
      <c r="D1" s="30"/>
      <c r="E1" s="30"/>
      <c r="F1" s="31"/>
      <c r="G1" s="31"/>
      <c r="H1" s="30"/>
      <c r="I1" s="31"/>
      <c r="J1" s="30"/>
    </row>
    <row r="2" spans="1:19" s="3" customFormat="1" ht="21" x14ac:dyDescent="0.5">
      <c r="A2" s="103" t="s">
        <v>71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9" s="3" customFormat="1" ht="21" x14ac:dyDescent="0.5">
      <c r="A3" s="135" t="s">
        <v>72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9" s="3" customFormat="1" ht="21" x14ac:dyDescent="0.5">
      <c r="A4" s="136" t="s">
        <v>73</v>
      </c>
      <c r="B4" s="137"/>
      <c r="C4" s="137"/>
      <c r="D4" s="137"/>
      <c r="E4" s="137"/>
      <c r="F4" s="137"/>
      <c r="G4" s="137"/>
      <c r="H4" s="137"/>
      <c r="I4" s="137"/>
      <c r="J4" s="137"/>
      <c r="K4" s="32"/>
      <c r="L4" s="138" t="s">
        <v>77</v>
      </c>
      <c r="M4" s="139"/>
    </row>
    <row r="5" spans="1:19" s="3" customFormat="1" ht="21" x14ac:dyDescent="0.5">
      <c r="A5" s="120" t="s">
        <v>27</v>
      </c>
      <c r="B5" s="121"/>
      <c r="C5" s="34"/>
      <c r="D5" s="35"/>
      <c r="E5" s="35"/>
      <c r="F5" s="34"/>
      <c r="G5" s="34"/>
      <c r="H5" s="34"/>
      <c r="I5" s="34"/>
      <c r="J5" s="36" t="s">
        <v>19</v>
      </c>
      <c r="K5" s="37"/>
      <c r="L5" s="38" t="s">
        <v>52</v>
      </c>
      <c r="M5" s="25">
        <v>0</v>
      </c>
    </row>
    <row r="6" spans="1:19" ht="15.5" x14ac:dyDescent="0.35">
      <c r="A6" s="39" t="s">
        <v>49</v>
      </c>
      <c r="B6" s="4">
        <v>47483</v>
      </c>
      <c r="C6" s="40"/>
      <c r="D6" s="40" t="s">
        <v>13</v>
      </c>
      <c r="E6" s="41"/>
      <c r="F6" s="40"/>
      <c r="G6" s="40"/>
      <c r="H6" s="40" t="s">
        <v>48</v>
      </c>
      <c r="I6" s="40"/>
      <c r="J6" s="42" t="str">
        <f>R16</f>
        <v>3/31/2030</v>
      </c>
      <c r="L6" s="38" t="s">
        <v>51</v>
      </c>
      <c r="M6" s="25">
        <v>0</v>
      </c>
      <c r="Q6" t="s">
        <v>20</v>
      </c>
      <c r="R6" t="s">
        <v>0</v>
      </c>
      <c r="S6">
        <f>SUM(J9:J12)</f>
        <v>820</v>
      </c>
    </row>
    <row r="7" spans="1:19" ht="21" x14ac:dyDescent="0.5">
      <c r="A7" s="43" t="s">
        <v>40</v>
      </c>
      <c r="B7" s="5">
        <v>0</v>
      </c>
      <c r="C7" s="44" t="s">
        <v>17</v>
      </c>
      <c r="D7" s="45">
        <f>B7</f>
        <v>0</v>
      </c>
      <c r="E7" s="46" t="s">
        <v>45</v>
      </c>
      <c r="F7" s="47"/>
      <c r="G7" s="47"/>
      <c r="H7" s="48"/>
      <c r="I7" s="44"/>
      <c r="J7" s="49">
        <f>S8</f>
        <v>0</v>
      </c>
      <c r="L7" s="38" t="s">
        <v>53</v>
      </c>
      <c r="M7" s="25">
        <v>0</v>
      </c>
      <c r="R7" t="s">
        <v>47</v>
      </c>
      <c r="S7">
        <f>SUM(J15:J19)+SUM(J21:J24)</f>
        <v>754</v>
      </c>
    </row>
    <row r="8" spans="1:19" ht="15.5" x14ac:dyDescent="0.35">
      <c r="A8" s="50" t="s">
        <v>1</v>
      </c>
      <c r="B8" s="6">
        <v>65</v>
      </c>
      <c r="C8" s="51" t="s">
        <v>17</v>
      </c>
      <c r="D8" s="6">
        <v>0</v>
      </c>
      <c r="E8" s="52" t="s">
        <v>11</v>
      </c>
      <c r="F8" s="51" t="s">
        <v>17</v>
      </c>
      <c r="G8" s="51" t="s">
        <v>14</v>
      </c>
      <c r="H8" s="53">
        <f>M5</f>
        <v>0</v>
      </c>
      <c r="I8" s="51"/>
      <c r="J8" s="33"/>
      <c r="L8" s="38" t="s">
        <v>76</v>
      </c>
      <c r="M8" s="25">
        <v>92</v>
      </c>
      <c r="R8" t="s">
        <v>66</v>
      </c>
      <c r="S8">
        <f>IF(S7&gt;S6,S7-S6,0)</f>
        <v>0</v>
      </c>
    </row>
    <row r="9" spans="1:19" ht="15.5" x14ac:dyDescent="0.35">
      <c r="A9" s="54"/>
      <c r="B9" s="98"/>
      <c r="C9" s="55"/>
      <c r="D9" s="56"/>
      <c r="E9" s="57"/>
      <c r="F9" s="55" t="s">
        <v>18</v>
      </c>
      <c r="G9" s="55" t="s">
        <v>43</v>
      </c>
      <c r="H9" s="58">
        <f>M6</f>
        <v>0</v>
      </c>
      <c r="I9" s="55" t="s">
        <v>34</v>
      </c>
      <c r="J9" s="59">
        <f>B8-D8-H8+H9</f>
        <v>65</v>
      </c>
      <c r="L9" s="101" t="s">
        <v>78</v>
      </c>
      <c r="M9" s="102"/>
      <c r="R9" t="s">
        <v>67</v>
      </c>
      <c r="S9">
        <f>IF(S7&lt;=S6,S6-S7,0)</f>
        <v>66</v>
      </c>
    </row>
    <row r="10" spans="1:19" ht="15.5" x14ac:dyDescent="0.35">
      <c r="A10" s="50" t="s">
        <v>2</v>
      </c>
      <c r="B10" s="6">
        <v>628</v>
      </c>
      <c r="C10" s="51" t="s">
        <v>17</v>
      </c>
      <c r="D10" s="6">
        <v>56</v>
      </c>
      <c r="E10" s="52" t="s">
        <v>12</v>
      </c>
      <c r="F10" s="51" t="s">
        <v>17</v>
      </c>
      <c r="G10" s="51" t="s">
        <v>14</v>
      </c>
      <c r="H10" s="53">
        <f>M7</f>
        <v>0</v>
      </c>
      <c r="I10" s="51"/>
      <c r="J10" s="33"/>
      <c r="L10" s="39"/>
      <c r="M10" s="60"/>
      <c r="Q10" t="s">
        <v>38</v>
      </c>
      <c r="R10" t="s">
        <v>0</v>
      </c>
      <c r="S10">
        <f>MAX(S6,S7)</f>
        <v>820</v>
      </c>
    </row>
    <row r="11" spans="1:19" ht="15.5" x14ac:dyDescent="0.35">
      <c r="A11" s="54"/>
      <c r="B11" s="61"/>
      <c r="C11" s="55"/>
      <c r="D11" s="56"/>
      <c r="E11" s="57"/>
      <c r="F11" s="55" t="s">
        <v>18</v>
      </c>
      <c r="G11" s="55" t="s">
        <v>44</v>
      </c>
      <c r="H11" s="58">
        <f>M8</f>
        <v>92</v>
      </c>
      <c r="I11" s="55" t="s">
        <v>34</v>
      </c>
      <c r="J11" s="59">
        <f>B10-D10-H10+H11</f>
        <v>664</v>
      </c>
      <c r="L11" s="62" t="s">
        <v>58</v>
      </c>
      <c r="M11" s="25">
        <v>19</v>
      </c>
      <c r="Q11" t="s">
        <v>28</v>
      </c>
      <c r="R11">
        <f>MONTH(B6)</f>
        <v>12</v>
      </c>
    </row>
    <row r="12" spans="1:19" ht="15.5" x14ac:dyDescent="0.35">
      <c r="A12" s="43" t="s">
        <v>39</v>
      </c>
      <c r="B12" s="63">
        <f>B13-B7-B8-B10</f>
        <v>88</v>
      </c>
      <c r="C12" s="47"/>
      <c r="D12" s="64" t="s">
        <v>50</v>
      </c>
      <c r="E12" s="48"/>
      <c r="F12" s="47"/>
      <c r="G12" s="47"/>
      <c r="H12" s="48"/>
      <c r="I12" s="55" t="s">
        <v>34</v>
      </c>
      <c r="J12" s="65">
        <f>ROUND(B12*(1+((J11/B10)-1)/2),0)</f>
        <v>91</v>
      </c>
      <c r="L12" s="62" t="s">
        <v>59</v>
      </c>
      <c r="M12" s="26">
        <v>23</v>
      </c>
      <c r="N12" s="9"/>
      <c r="O12" s="10"/>
      <c r="Q12" t="s">
        <v>29</v>
      </c>
      <c r="R12">
        <f>YEAR(B6)</f>
        <v>2029</v>
      </c>
    </row>
    <row r="13" spans="1:19" ht="15.5" x14ac:dyDescent="0.35">
      <c r="A13" s="43" t="s">
        <v>0</v>
      </c>
      <c r="B13" s="7">
        <v>781</v>
      </c>
      <c r="C13" s="34"/>
      <c r="D13" s="66"/>
      <c r="E13" s="66"/>
      <c r="F13" s="34"/>
      <c r="G13" s="34"/>
      <c r="H13" s="117" t="s">
        <v>35</v>
      </c>
      <c r="I13" s="118"/>
      <c r="J13" s="65">
        <f>SUM(J7:J12)</f>
        <v>820</v>
      </c>
      <c r="K13" s="67"/>
      <c r="L13" s="62" t="s">
        <v>60</v>
      </c>
      <c r="M13" s="25">
        <v>19</v>
      </c>
      <c r="N13" s="9"/>
      <c r="O13" s="10"/>
      <c r="Q13" t="s">
        <v>30</v>
      </c>
      <c r="R13">
        <f>IF(R11=12,3,R11+3)</f>
        <v>3</v>
      </c>
    </row>
    <row r="14" spans="1:19" ht="15.5" x14ac:dyDescent="0.35">
      <c r="A14" s="43"/>
      <c r="B14" s="68"/>
      <c r="C14" s="119" t="s">
        <v>68</v>
      </c>
      <c r="D14" s="114"/>
      <c r="E14" s="114"/>
      <c r="F14" s="40"/>
      <c r="G14" s="40"/>
      <c r="H14" s="11"/>
      <c r="I14" s="40"/>
      <c r="J14" s="70"/>
      <c r="K14" s="71"/>
      <c r="L14" s="101" t="s">
        <v>79</v>
      </c>
      <c r="M14" s="102"/>
      <c r="Q14" t="s">
        <v>31</v>
      </c>
      <c r="R14">
        <f>IF(R11=12,R12+1,R12)</f>
        <v>2030</v>
      </c>
    </row>
    <row r="15" spans="1:19" ht="15.5" x14ac:dyDescent="0.35">
      <c r="A15" s="43" t="s">
        <v>3</v>
      </c>
      <c r="B15" s="5">
        <v>159</v>
      </c>
      <c r="C15" s="44" t="s">
        <v>17</v>
      </c>
      <c r="D15" s="5">
        <v>7</v>
      </c>
      <c r="E15" s="72" t="s">
        <v>15</v>
      </c>
      <c r="F15" s="44" t="s">
        <v>18</v>
      </c>
      <c r="G15" s="44" t="s">
        <v>44</v>
      </c>
      <c r="H15" s="73">
        <f>M11</f>
        <v>19</v>
      </c>
      <c r="I15" s="44" t="s">
        <v>18</v>
      </c>
      <c r="J15" s="65">
        <f>B15-D15+H15</f>
        <v>171</v>
      </c>
      <c r="L15" s="74"/>
      <c r="M15" s="75"/>
      <c r="Q15" t="s">
        <v>32</v>
      </c>
      <c r="R15">
        <f>IF(R13=3,31,IF(R13=12,31,30))</f>
        <v>31</v>
      </c>
    </row>
    <row r="16" spans="1:19" ht="15.5" x14ac:dyDescent="0.35">
      <c r="A16" s="43" t="s">
        <v>4</v>
      </c>
      <c r="B16" s="5">
        <v>241</v>
      </c>
      <c r="C16" s="44" t="s">
        <v>17</v>
      </c>
      <c r="D16" s="5">
        <v>14</v>
      </c>
      <c r="E16" s="72" t="s">
        <v>15</v>
      </c>
      <c r="F16" s="44" t="s">
        <v>18</v>
      </c>
      <c r="G16" s="44" t="s">
        <v>44</v>
      </c>
      <c r="H16" s="73">
        <f>M12</f>
        <v>23</v>
      </c>
      <c r="I16" s="44" t="s">
        <v>18</v>
      </c>
      <c r="J16" s="65">
        <f>B16-D16+H16</f>
        <v>250</v>
      </c>
      <c r="L16" s="76" t="s">
        <v>61</v>
      </c>
      <c r="M16" s="28">
        <v>0</v>
      </c>
      <c r="Q16" t="s">
        <v>33</v>
      </c>
      <c r="R16" t="str">
        <f>CONCATENATE(R13,"/",R15,"/",R14)</f>
        <v>3/31/2030</v>
      </c>
    </row>
    <row r="17" spans="1:15" ht="15.5" x14ac:dyDescent="0.35">
      <c r="A17" s="43" t="s">
        <v>5</v>
      </c>
      <c r="B17" s="5">
        <v>234</v>
      </c>
      <c r="C17" s="44" t="s">
        <v>17</v>
      </c>
      <c r="D17" s="5">
        <v>19</v>
      </c>
      <c r="E17" s="72" t="s">
        <v>15</v>
      </c>
      <c r="F17" s="44" t="s">
        <v>18</v>
      </c>
      <c r="G17" s="44" t="s">
        <v>44</v>
      </c>
      <c r="H17" s="73">
        <f>M13</f>
        <v>19</v>
      </c>
      <c r="I17" s="44" t="s">
        <v>18</v>
      </c>
      <c r="J17" s="65">
        <f>B17-D17+H17</f>
        <v>234</v>
      </c>
      <c r="L17" s="62" t="s">
        <v>81</v>
      </c>
      <c r="M17" s="25">
        <v>0</v>
      </c>
    </row>
    <row r="18" spans="1:15" ht="15.5" x14ac:dyDescent="0.35">
      <c r="A18" s="43" t="s">
        <v>6</v>
      </c>
      <c r="B18" s="5">
        <v>37</v>
      </c>
      <c r="C18" s="44" t="s">
        <v>17</v>
      </c>
      <c r="D18" s="5">
        <v>21</v>
      </c>
      <c r="E18" s="72" t="s">
        <v>16</v>
      </c>
      <c r="F18" s="44" t="s">
        <v>18</v>
      </c>
      <c r="G18" s="47" t="s">
        <v>44</v>
      </c>
      <c r="H18" s="73">
        <f>SUM(M21:M24)</f>
        <v>0</v>
      </c>
      <c r="I18" s="44" t="s">
        <v>18</v>
      </c>
      <c r="J18" s="65">
        <f>B18-D18+H18</f>
        <v>16</v>
      </c>
      <c r="L18" s="132" t="s">
        <v>80</v>
      </c>
      <c r="M18" s="102"/>
    </row>
    <row r="19" spans="1:15" ht="15.5" x14ac:dyDescent="0.35">
      <c r="A19" s="43" t="s">
        <v>41</v>
      </c>
      <c r="B19" s="5">
        <v>0</v>
      </c>
      <c r="C19" s="44" t="s">
        <v>17</v>
      </c>
      <c r="D19" s="45">
        <f>B19</f>
        <v>0</v>
      </c>
      <c r="E19" s="46" t="s">
        <v>45</v>
      </c>
      <c r="F19" s="44" t="s">
        <v>18</v>
      </c>
      <c r="G19" s="47" t="s">
        <v>44</v>
      </c>
      <c r="H19" s="73">
        <f>M20</f>
        <v>0</v>
      </c>
      <c r="I19" s="44" t="s">
        <v>18</v>
      </c>
      <c r="J19" s="65">
        <f>B19-D19+H19</f>
        <v>0</v>
      </c>
      <c r="L19" s="77"/>
      <c r="M19" s="78"/>
    </row>
    <row r="20" spans="1:15" ht="21" x14ac:dyDescent="0.5">
      <c r="A20" s="43" t="s">
        <v>42</v>
      </c>
      <c r="B20" s="5">
        <v>29</v>
      </c>
      <c r="C20" s="44" t="s">
        <v>17</v>
      </c>
      <c r="D20" s="45">
        <f>B20</f>
        <v>29</v>
      </c>
      <c r="E20" s="46" t="s">
        <v>45</v>
      </c>
      <c r="F20" s="47"/>
      <c r="G20" s="47"/>
      <c r="H20" s="79"/>
      <c r="I20" s="44"/>
      <c r="J20" s="49">
        <f>S9</f>
        <v>66</v>
      </c>
      <c r="K20" s="12"/>
      <c r="L20" s="62" t="s">
        <v>65</v>
      </c>
      <c r="M20" s="27">
        <v>0</v>
      </c>
    </row>
    <row r="21" spans="1:15" ht="15.5" x14ac:dyDescent="0.35">
      <c r="A21" s="43" t="s">
        <v>7</v>
      </c>
      <c r="B21" s="5">
        <v>0</v>
      </c>
      <c r="C21" s="44" t="s">
        <v>17</v>
      </c>
      <c r="D21" s="5">
        <v>0</v>
      </c>
      <c r="E21" s="72" t="s">
        <v>16</v>
      </c>
      <c r="F21" s="44" t="s">
        <v>18</v>
      </c>
      <c r="G21" s="47" t="s">
        <v>44</v>
      </c>
      <c r="H21" s="73">
        <f>M25</f>
        <v>0</v>
      </c>
      <c r="I21" s="44" t="s">
        <v>18</v>
      </c>
      <c r="J21" s="65">
        <f>B21-D21+H21</f>
        <v>0</v>
      </c>
      <c r="L21" s="62" t="s">
        <v>75</v>
      </c>
      <c r="M21" s="27">
        <v>0</v>
      </c>
      <c r="N21" s="12"/>
      <c r="O21" s="12"/>
    </row>
    <row r="22" spans="1:15" ht="15.5" x14ac:dyDescent="0.35">
      <c r="A22" s="43" t="s">
        <v>8</v>
      </c>
      <c r="B22" s="46">
        <f>B13-SUM(B15:B21)-SUM(B23:B24)</f>
        <v>29</v>
      </c>
      <c r="C22" s="47"/>
      <c r="D22" s="64" t="s">
        <v>50</v>
      </c>
      <c r="E22" s="48"/>
      <c r="F22" s="47"/>
      <c r="G22" s="47"/>
      <c r="H22" s="79"/>
      <c r="I22" s="47"/>
      <c r="J22" s="65">
        <f>ROUND(B22+0.5*(J12-B12),0)</f>
        <v>31</v>
      </c>
      <c r="L22" s="62" t="s">
        <v>63</v>
      </c>
      <c r="M22" s="27">
        <v>0</v>
      </c>
    </row>
    <row r="23" spans="1:15" ht="18.5" x14ac:dyDescent="0.45">
      <c r="A23" s="43" t="s">
        <v>9</v>
      </c>
      <c r="B23" s="5">
        <v>4</v>
      </c>
      <c r="C23" s="47"/>
      <c r="D23" s="48"/>
      <c r="E23" s="48"/>
      <c r="F23" s="44" t="s">
        <v>18</v>
      </c>
      <c r="G23" s="47" t="s">
        <v>44</v>
      </c>
      <c r="H23" s="73">
        <f>M16</f>
        <v>0</v>
      </c>
      <c r="I23" s="44" t="s">
        <v>18</v>
      </c>
      <c r="J23" s="65">
        <f>B23+H23</f>
        <v>4</v>
      </c>
      <c r="L23" s="62" t="s">
        <v>64</v>
      </c>
      <c r="M23" s="27">
        <v>0</v>
      </c>
      <c r="N23" s="99"/>
      <c r="O23" s="100"/>
    </row>
    <row r="24" spans="1:15" ht="15.5" x14ac:dyDescent="0.35">
      <c r="A24" s="43" t="s">
        <v>10</v>
      </c>
      <c r="B24" s="5">
        <v>48</v>
      </c>
      <c r="C24" s="44" t="s">
        <v>18</v>
      </c>
      <c r="D24" s="125" t="s">
        <v>46</v>
      </c>
      <c r="E24" s="126"/>
      <c r="F24" s="126"/>
      <c r="G24" s="126"/>
      <c r="H24" s="73">
        <f>M17</f>
        <v>0</v>
      </c>
      <c r="I24" s="44" t="s">
        <v>18</v>
      </c>
      <c r="J24" s="65">
        <f>B24+H24</f>
        <v>48</v>
      </c>
      <c r="L24" s="62" t="s">
        <v>74</v>
      </c>
      <c r="M24" s="27">
        <v>0</v>
      </c>
      <c r="N24" s="13"/>
      <c r="O24" s="11"/>
    </row>
    <row r="25" spans="1:15" ht="15.5" x14ac:dyDescent="0.35">
      <c r="A25" s="80"/>
      <c r="B25" s="81"/>
      <c r="C25" s="34"/>
      <c r="D25" s="66"/>
      <c r="E25" s="66"/>
      <c r="F25" s="127" t="s">
        <v>36</v>
      </c>
      <c r="G25" s="128"/>
      <c r="H25" s="128"/>
      <c r="I25" s="129"/>
      <c r="J25" s="82">
        <f>SUM(J15:J24)</f>
        <v>820</v>
      </c>
      <c r="K25" s="83"/>
      <c r="L25" s="62" t="s">
        <v>62</v>
      </c>
      <c r="M25" s="27">
        <v>0</v>
      </c>
      <c r="N25" s="13"/>
      <c r="O25" s="11"/>
    </row>
    <row r="26" spans="1:15" ht="15.65" customHeight="1" x14ac:dyDescent="0.35">
      <c r="A26" s="84" t="s">
        <v>21</v>
      </c>
      <c r="B26" s="8">
        <v>637.9</v>
      </c>
      <c r="C26" s="40"/>
      <c r="D26" s="85"/>
      <c r="E26" s="85"/>
      <c r="F26" s="40"/>
      <c r="G26" s="40"/>
      <c r="H26" s="11"/>
      <c r="I26" s="40"/>
      <c r="J26" s="11"/>
      <c r="K26" s="86"/>
      <c r="L26" s="133" t="s">
        <v>80</v>
      </c>
      <c r="M26" s="134"/>
      <c r="N26" s="12"/>
      <c r="O26" s="11"/>
    </row>
    <row r="27" spans="1:15" ht="11.4" customHeight="1" x14ac:dyDescent="0.35">
      <c r="A27" s="12"/>
      <c r="B27" s="11"/>
      <c r="C27" s="40"/>
      <c r="D27" s="11"/>
      <c r="E27" s="11"/>
      <c r="F27" s="40"/>
      <c r="G27" s="40"/>
      <c r="H27" s="11"/>
      <c r="I27" s="40"/>
      <c r="J27"/>
      <c r="L27" s="87"/>
      <c r="M27" s="87"/>
      <c r="N27" s="12"/>
      <c r="O27" s="11"/>
    </row>
    <row r="28" spans="1:15" ht="15.5" x14ac:dyDescent="0.35">
      <c r="A28" s="115" t="s">
        <v>56</v>
      </c>
      <c r="B28" s="116"/>
      <c r="C28" s="124"/>
      <c r="D28" s="115" t="s">
        <v>69</v>
      </c>
      <c r="E28" s="116"/>
      <c r="F28" s="122" t="str">
        <f>J6</f>
        <v>3/31/2030</v>
      </c>
      <c r="G28" s="123"/>
      <c r="H28" s="123"/>
      <c r="I28" s="34"/>
      <c r="J28" s="66"/>
      <c r="K28" s="88"/>
      <c r="L28" s="89"/>
      <c r="M28" s="90"/>
    </row>
    <row r="29" spans="1:15" ht="15.5" x14ac:dyDescent="0.35">
      <c r="A29" s="91" t="s">
        <v>54</v>
      </c>
      <c r="B29" s="104">
        <f>J9-B8</f>
        <v>0</v>
      </c>
      <c r="C29" s="102"/>
      <c r="D29" s="107" t="s">
        <v>22</v>
      </c>
      <c r="E29" s="108"/>
      <c r="F29" s="108"/>
      <c r="G29" s="111">
        <f>J20/(J24+J23)</f>
        <v>1.2692307692307692</v>
      </c>
      <c r="H29" s="112"/>
      <c r="J29" s="92" t="s">
        <v>25</v>
      </c>
      <c r="K29" s="19"/>
      <c r="L29" s="93">
        <f>J24/J25</f>
        <v>5.8536585365853662E-2</v>
      </c>
    </row>
    <row r="30" spans="1:15" ht="15.5" x14ac:dyDescent="0.35">
      <c r="A30" s="91" t="s">
        <v>55</v>
      </c>
      <c r="B30" s="104">
        <f>J11-B10</f>
        <v>36</v>
      </c>
      <c r="C30" s="102"/>
      <c r="D30" s="107" t="s">
        <v>23</v>
      </c>
      <c r="E30" s="108"/>
      <c r="F30" s="108"/>
      <c r="G30" s="111">
        <f>J11/SUM(J15:J18)</f>
        <v>0.98956780923994037</v>
      </c>
      <c r="H30" s="112"/>
      <c r="J30" s="92" t="s">
        <v>26</v>
      </c>
      <c r="K30" s="19"/>
      <c r="L30" s="93">
        <f>(J24+J23+(0.01*J11))/(B26+B30)</f>
        <v>8.7015877726665677E-2</v>
      </c>
      <c r="M30" s="21"/>
    </row>
    <row r="31" spans="1:15" ht="15.5" x14ac:dyDescent="0.35">
      <c r="A31" s="94" t="s">
        <v>57</v>
      </c>
      <c r="B31" s="105">
        <f>SUM(H15:H17)-SUM(D15:D17)</f>
        <v>21</v>
      </c>
      <c r="C31" s="106"/>
      <c r="D31" s="109" t="s">
        <v>24</v>
      </c>
      <c r="E31" s="110"/>
      <c r="F31" s="110"/>
      <c r="G31" s="113">
        <f>J11/SUM(J15:J17)</f>
        <v>1.0137404580152671</v>
      </c>
      <c r="H31" s="114"/>
      <c r="I31" s="95"/>
      <c r="J31" s="69"/>
      <c r="K31" s="96"/>
      <c r="L31" s="97"/>
      <c r="M31" s="21"/>
    </row>
    <row r="32" spans="1:15" ht="15.5" x14ac:dyDescent="0.35">
      <c r="C32" s="17"/>
      <c r="D32" s="22"/>
      <c r="E32"/>
      <c r="F32"/>
      <c r="H32" s="9"/>
      <c r="J32" s="24"/>
      <c r="K32" s="19"/>
      <c r="M32" s="21"/>
    </row>
    <row r="33" spans="1:13" ht="15.5" x14ac:dyDescent="0.35">
      <c r="C33" s="17"/>
      <c r="K33" s="19"/>
      <c r="M33" s="21"/>
    </row>
    <row r="34" spans="1:13" ht="18.5" x14ac:dyDescent="0.45">
      <c r="A34" s="14"/>
      <c r="B34" s="15"/>
      <c r="C34" s="16"/>
      <c r="D34" s="18"/>
      <c r="E34" s="20"/>
      <c r="F34" s="19"/>
      <c r="K34" s="19"/>
      <c r="M34" s="21"/>
    </row>
    <row r="35" spans="1:13" ht="18.5" x14ac:dyDescent="0.45">
      <c r="A35" s="23"/>
      <c r="B35" s="15"/>
      <c r="C35" s="16"/>
      <c r="D35" s="18"/>
      <c r="E35" s="20"/>
      <c r="F35" s="19"/>
      <c r="H35" s="15"/>
      <c r="I35" s="18"/>
      <c r="J35" s="19"/>
      <c r="K35" s="19"/>
      <c r="M35" s="21"/>
    </row>
    <row r="36" spans="1:13" ht="15.5" x14ac:dyDescent="0.35">
      <c r="I36" s="130"/>
      <c r="J36" s="131"/>
      <c r="K36" s="131"/>
    </row>
  </sheetData>
  <sheetProtection algorithmName="SHA-512" hashValue="/8nwGJFVuj5HOYBmhWcoJKRHL0RBxYMHbz4xlTcrpIlXDNdincr3GZ7+CM3K4MYXU8Zq1k+EWRkY8y8cx8xEWg==" saltValue="+jZKJtiEJdmPUWSLQQcgsQ==" spinCount="100000" sheet="1" objects="1" scenarios="1"/>
  <mergeCells count="27">
    <mergeCell ref="I36:K36"/>
    <mergeCell ref="L18:M18"/>
    <mergeCell ref="L26:M26"/>
    <mergeCell ref="A3:M3"/>
    <mergeCell ref="A4:J4"/>
    <mergeCell ref="L4:M4"/>
    <mergeCell ref="G30:H30"/>
    <mergeCell ref="G31:H31"/>
    <mergeCell ref="D28:E28"/>
    <mergeCell ref="H13:I13"/>
    <mergeCell ref="C14:E14"/>
    <mergeCell ref="F28:H28"/>
    <mergeCell ref="A28:C28"/>
    <mergeCell ref="D24:G24"/>
    <mergeCell ref="F25:I25"/>
    <mergeCell ref="B30:C30"/>
    <mergeCell ref="B31:C31"/>
    <mergeCell ref="D29:F29"/>
    <mergeCell ref="D30:F30"/>
    <mergeCell ref="D31:F31"/>
    <mergeCell ref="N23:O23"/>
    <mergeCell ref="L9:M9"/>
    <mergeCell ref="L14:M14"/>
    <mergeCell ref="A2:M2"/>
    <mergeCell ref="B29:C29"/>
    <mergeCell ref="G29:H29"/>
    <mergeCell ref="A5:B5"/>
  </mergeCells>
  <pageMargins left="0.5" right="0.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E603-B18F-41F9-93A4-9FAD1CF9BC16}">
  <dimension ref="A1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Best</dc:creator>
  <cp:lastModifiedBy>Ronald Best</cp:lastModifiedBy>
  <cp:lastPrinted>2024-03-31T19:52:54Z</cp:lastPrinted>
  <dcterms:created xsi:type="dcterms:W3CDTF">2023-06-11T15:30:56Z</dcterms:created>
  <dcterms:modified xsi:type="dcterms:W3CDTF">2024-07-28T18:01:24Z</dcterms:modified>
</cp:coreProperties>
</file>